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5" yWindow="-105" windowWidth="12120" windowHeight="11220"/>
  </bookViews>
  <sheets>
    <sheet name="tableau 1" sheetId="1" r:id="rId1"/>
    <sheet name="graphique 1" sheetId="5" r:id="rId2"/>
    <sheet name="graphique 2" sheetId="3" r:id="rId3"/>
  </sheets>
  <calcPr calcId="145621"/>
</workbook>
</file>

<file path=xl/calcChain.xml><?xml version="1.0" encoding="utf-8"?>
<calcChain xmlns="http://schemas.openxmlformats.org/spreadsheetml/2006/main">
  <c r="H24" i="1" l="1"/>
  <c r="H19" i="1"/>
  <c r="H13" i="1"/>
  <c r="H10" i="1"/>
  <c r="H5" i="1"/>
  <c r="E24" i="1"/>
  <c r="E19" i="1"/>
  <c r="E13" i="1"/>
  <c r="E10" i="1"/>
  <c r="E5" i="1"/>
  <c r="D19" i="1"/>
  <c r="D13" i="1"/>
  <c r="D5" i="1"/>
  <c r="D24" i="1"/>
  <c r="D10" i="1"/>
  <c r="D15" i="1"/>
  <c r="D14" i="1"/>
  <c r="C10" i="1"/>
  <c r="C5" i="1"/>
  <c r="I13" i="1"/>
  <c r="I10" i="1"/>
  <c r="I5" i="1"/>
  <c r="H23" i="1" l="1"/>
  <c r="H22" i="1"/>
  <c r="H21" i="1"/>
  <c r="H20" i="1"/>
  <c r="H18" i="1"/>
  <c r="H17" i="1"/>
  <c r="H16" i="1"/>
  <c r="H15" i="1"/>
  <c r="H14" i="1"/>
  <c r="H12" i="1"/>
  <c r="H11" i="1"/>
  <c r="H9" i="1"/>
  <c r="H8" i="1"/>
  <c r="H7" i="1"/>
  <c r="H6" i="1"/>
  <c r="E23" i="1"/>
  <c r="E22" i="1"/>
  <c r="E21" i="1"/>
  <c r="E20" i="1"/>
  <c r="E18" i="1"/>
  <c r="E17" i="1"/>
  <c r="E16" i="1"/>
  <c r="E15" i="1"/>
  <c r="E14" i="1"/>
  <c r="E12" i="1"/>
  <c r="E11" i="1"/>
  <c r="E9" i="1"/>
  <c r="E8" i="1"/>
  <c r="E7" i="1"/>
  <c r="E6" i="1"/>
  <c r="D23" i="1"/>
  <c r="D22" i="1"/>
  <c r="D21" i="1"/>
  <c r="D20" i="1"/>
  <c r="D18" i="1"/>
  <c r="D17" i="1"/>
  <c r="D16" i="1"/>
  <c r="D12" i="1"/>
  <c r="D11" i="1"/>
  <c r="D9" i="1"/>
  <c r="D8" i="1"/>
  <c r="D7" i="1"/>
  <c r="D6" i="1"/>
  <c r="C13" i="1" l="1"/>
  <c r="C19" i="1"/>
  <c r="C24" i="1" l="1"/>
</calcChain>
</file>

<file path=xl/sharedStrings.xml><?xml version="1.0" encoding="utf-8"?>
<sst xmlns="http://schemas.openxmlformats.org/spreadsheetml/2006/main" count="70" uniqueCount="69">
  <si>
    <t>Nombre de sections de formations</t>
  </si>
  <si>
    <t>Ensemble des inscrits</t>
  </si>
  <si>
    <t>Nouveaux inscrits</t>
  </si>
  <si>
    <t>Diplômés</t>
  </si>
  <si>
    <t>Effectifs en première année</t>
  </si>
  <si>
    <t>Proportion de femmes (en %)</t>
  </si>
  <si>
    <t>Aide médico-psychologique</t>
  </si>
  <si>
    <t>Auxiliaire de vie sociale</t>
  </si>
  <si>
    <t>Accompagnant éducatif et social</t>
  </si>
  <si>
    <t>Assistant familial</t>
  </si>
  <si>
    <t>Moniteur éducateur</t>
  </si>
  <si>
    <t>Éducateur technique spécialisé</t>
  </si>
  <si>
    <t>Éducateur spécialisé</t>
  </si>
  <si>
    <t>Éducateur de jeunes enfants</t>
  </si>
  <si>
    <t>Conseiller en économie sociale et familiale</t>
  </si>
  <si>
    <t>Assistant de service social</t>
  </si>
  <si>
    <t>Médiateur familial</t>
  </si>
  <si>
    <t>DEIS</t>
  </si>
  <si>
    <t>Ensemble</t>
  </si>
  <si>
    <t>Âge moyen fin 2017</t>
  </si>
  <si>
    <t>Ensemble de la population</t>
  </si>
  <si>
    <t>ND</t>
  </si>
  <si>
    <r>
      <t>Formations</t>
    </r>
    <r>
      <rPr>
        <b/>
        <vertAlign val="superscript"/>
        <sz val="8"/>
        <color theme="1"/>
        <rFont val="Arial"/>
        <family val="2"/>
      </rPr>
      <t>1</t>
    </r>
  </si>
  <si>
    <r>
      <t>Total des diplômes délivrés</t>
    </r>
    <r>
      <rPr>
        <b/>
        <vertAlign val="superscript"/>
        <sz val="8"/>
        <rFont val="Arial"/>
        <family val="2"/>
      </rPr>
      <t>2</t>
    </r>
  </si>
  <si>
    <r>
      <t>Effectifs de diplômés de la VAE</t>
    </r>
    <r>
      <rPr>
        <b/>
        <vertAlign val="superscript"/>
        <sz val="8"/>
        <rFont val="Arial"/>
        <family val="2"/>
      </rPr>
      <t>3</t>
    </r>
  </si>
  <si>
    <t>Educateur spécialisé</t>
  </si>
  <si>
    <t>Niveau III</t>
  </si>
  <si>
    <t>Niveau V</t>
  </si>
  <si>
    <t>Niveau IV</t>
  </si>
  <si>
    <t>Niveau III (hors éducateur spécialisé)</t>
  </si>
  <si>
    <t>Personnes n'ayant jamais travaillé</t>
  </si>
  <si>
    <t>Agriculteurs</t>
  </si>
  <si>
    <t>Artisans, commerçants et chefs d’entreprise</t>
  </si>
  <si>
    <t>Cadres et professions intellectuelles du supérieures</t>
  </si>
  <si>
    <t>Professions intermédiaires</t>
  </si>
  <si>
    <t>Employés</t>
  </si>
  <si>
    <t>Ouvriers</t>
  </si>
  <si>
    <t>Tableau 1   Répartition des étudiants et des diplômés selon la formation sociale suivie en 2017</t>
  </si>
  <si>
    <t>Technicien de l’intervention sociale et familiale</t>
  </si>
  <si>
    <t>Inscrits en première année</t>
  </si>
  <si>
    <t>Graphique 2  Catégorie socioprofessionnelle du père des nouveaux inscrits de première année en formations sociales</t>
  </si>
  <si>
    <t>Caferuis</t>
  </si>
  <si>
    <t>Cafdes</t>
  </si>
  <si>
    <t>En %</t>
  </si>
  <si>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DREES, enquêtes Écoles 2009 à 2017.</t>
    </r>
  </si>
  <si>
    <r>
      <rPr>
        <b/>
        <sz val="8"/>
        <color theme="1"/>
        <rFont val="Arial"/>
        <family val="2"/>
      </rPr>
      <t xml:space="preserve">Champ </t>
    </r>
    <r>
      <rPr>
        <sz val="8"/>
        <color theme="1"/>
        <rFont val="Arial"/>
        <family val="2"/>
      </rPr>
      <t xml:space="preserve">• France entière, inscrits de première année entre 2009 et 2014, diplômés entre 2012 et 2017.
</t>
    </r>
    <r>
      <rPr>
        <b/>
        <sz val="8"/>
        <color theme="1"/>
        <rFont val="Arial"/>
        <family val="2"/>
      </rPr>
      <t/>
    </r>
  </si>
  <si>
    <r>
      <t>4470</t>
    </r>
    <r>
      <rPr>
        <b/>
        <vertAlign val="superscript"/>
        <sz val="8"/>
        <color theme="1"/>
        <rFont val="Arial"/>
        <family val="2"/>
      </rPr>
      <t>4</t>
    </r>
  </si>
  <si>
    <r>
      <t>176</t>
    </r>
    <r>
      <rPr>
        <b/>
        <vertAlign val="superscript"/>
        <sz val="8"/>
        <color theme="1"/>
        <rFont val="Arial"/>
        <family val="2"/>
      </rPr>
      <t>4</t>
    </r>
  </si>
  <si>
    <r>
      <rPr>
        <b/>
        <sz val="8"/>
        <color theme="1"/>
        <rFont val="Arial"/>
        <family val="2"/>
      </rPr>
      <t>Note</t>
    </r>
    <r>
      <rPr>
        <sz val="8"/>
        <color theme="1"/>
        <rFont val="Arial"/>
        <family val="2"/>
      </rPr>
      <t xml:space="preserve"> • Pour comprendre l’évolution des effectifs de diplômés (2012 à 2017), on la confronte à celle des effectifs de première année ayant effectué une rentrée trois ans auparavant (2009 à 2014), c’est-à-dire à la population dont est issue la majeure partie des diplômés.</t>
    </r>
    <r>
      <rPr>
        <b/>
        <sz val="8"/>
        <color theme="1"/>
        <rFont val="Arial"/>
        <family val="2"/>
      </rPr>
      <t/>
    </r>
  </si>
  <si>
    <r>
      <rPr>
        <b/>
        <sz val="8"/>
        <color theme="1"/>
        <rFont val="Arial"/>
        <family val="2"/>
      </rPr>
      <t>Lecture</t>
    </r>
    <r>
      <rPr>
        <sz val="8"/>
        <color theme="1"/>
        <rFont val="Arial"/>
        <family val="2"/>
      </rPr>
      <t xml:space="preserve"> • En 2016, le nombre de diplômés éducateurs spécialisés a baissé de 10 % par rapport à 2012.  À leur entrée en formation trois ans plus tôt, les effectifs d'inscrits en première année étaient en recul de 5 % par rapport à 2009.</t>
    </r>
  </si>
  <si>
    <t>Formations de niveau V</t>
  </si>
  <si>
    <t>Formations de niveau IV</t>
  </si>
  <si>
    <t>Formations de niveau III</t>
  </si>
  <si>
    <t>Niveaux I &amp; II</t>
  </si>
  <si>
    <t>Formations de niveaux I et II</t>
  </si>
  <si>
    <t>VAE : validation des acquis de l’expérience ; Caferuis : certificat d’aptitude aux fonctions d’encadrement et de responsable d’unité d’intervention sociale ; Cafdes : certificat d’aptitude aux fonctions de directeur d’établissement ou de service d’intervention sociale ; DEIS : diplôme d’État d’ingénierie sociale. ND : non disponible.</t>
  </si>
  <si>
    <t>1. Les formations de niveau V correspondent à un niveau CAP/BEP ou de second cycle général et technologique avant l’année terminale ; celles de niveau IV à un niveau baccalauréat; celles de niveau III à un niveau bac+2; et celles de niveau I et II à un niveau bac+3 ou plus.</t>
  </si>
  <si>
    <t xml:space="preserve">2. Pour les parcours de formation uniquement (hors VAE). </t>
  </si>
  <si>
    <t>3. Validation des acquis de l’expérience pour la totalité du diplôme. Les validations partielles ne sont pas prises en comtpe ici.</t>
  </si>
  <si>
    <t>4. Total hors Cafdes.</t>
  </si>
  <si>
    <r>
      <rPr>
        <b/>
        <sz val="8"/>
        <color theme="1"/>
        <rFont val="Arial"/>
        <family val="2"/>
      </rPr>
      <t xml:space="preserve">Note • </t>
    </r>
    <r>
      <rPr>
        <sz val="8"/>
        <color theme="1"/>
        <rFont val="Arial"/>
        <family val="2"/>
      </rPr>
      <t>Afin d’établir le profil social des étudiants, ces derniers sont interrogés sur la profession qu’exerçaient leurs parents quand ils étaient au collège. Pour comparer ce profil à celui de l’ensemble de la population, on le confronte à celui des individus âgés de 30 à 50 ans en 2007, c’est à dire à la population en âge d’être parents de collégiens à la date où les actuels étudiants en formation sociale étaient au collège ou susceptibles de l’être.</t>
    </r>
  </si>
  <si>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En 2017, 31 % des nouveaux inscrits de première année en formation d’éducateur spécialisé ont un père employé.</t>
    </r>
  </si>
  <si>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France entière, nouveaux inscrits de première année en 2017 pour les étudiants en formations sociales ; France entière, personnes âgées de 30 à 50 ans en 2007 pour la population générale.</t>
    </r>
  </si>
  <si>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DREES, enquête Écoles 2017 ; Insee, recensement de la population 2007.</t>
    </r>
  </si>
  <si>
    <r>
      <rPr>
        <b/>
        <sz val="8"/>
        <color theme="1"/>
        <rFont val="Arial"/>
        <family val="2"/>
      </rPr>
      <t>Note •</t>
    </r>
    <r>
      <rPr>
        <sz val="8"/>
        <color theme="1"/>
        <rFont val="Arial"/>
        <family val="2"/>
      </rPr>
      <t xml:space="preserve"> Les chiffres étant arrondis à la dizaine, les sommes des données détaillées peuvent différer légèrement des totaux.</t>
    </r>
  </si>
  <si>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En 2017, 60 460 élèves sont inscrits en formations sociales, dont 29 330 nouveaux inscrits en première année. 24 840 diplômes ont été délivrés suite à un parcours de formation uniquement (hors VAE) et 4 470 dans le cadre d’une VAE.</t>
    </r>
  </si>
  <si>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France entière.</t>
    </r>
  </si>
  <si>
    <r>
      <rPr>
        <b/>
        <sz val="8"/>
        <color theme="1"/>
        <rFont val="Arial"/>
        <family val="2"/>
      </rPr>
      <t xml:space="preserve">Sources • </t>
    </r>
    <r>
      <rPr>
        <sz val="8"/>
        <color theme="1"/>
        <rFont val="Arial"/>
        <family val="2"/>
      </rPr>
      <t>DREES, enquête Écoles 2017 ; DGCS ; DEPP, enquête 62 sur l’activité des dispositifs académiques de validation des acquis de l’expérience.</t>
    </r>
  </si>
  <si>
    <t>Graphique 1  Évolution du nombre d'inscrits en première année et du nombre de diplômés éducateurs spécialisés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</si>
</sst>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N34"/>
  <sheetViews>
    <sheetView showGridLines="0" tabSelected="1" zoomScaleNormal="100" zoomScaleSheetLayoutView="100" workbookViewId="0">
      <selection activeCell="D38" sqref="D38"/>
    </sheetView>
  </sheetViews>
  <sheetFormatPr baseColWidth="10" defaultRowHeight="11.25" x14ac:dyDescent="0.25"/>
  <cols>
    <col min="1" max="1" width="3.7109375" style="5" customWidth="1"/>
    <col min="2" max="2" width="34.7109375" style="5" customWidth="1"/>
    <col min="3" max="9" width="11.42578125" style="5"/>
    <col min="10" max="10" width="8.140625" style="5" customWidth="1"/>
    <col min="11" max="16384" width="11.42578125" style="5"/>
  </cols>
  <sheetData>
    <row r="1" spans="2:9" ht="15.75" customHeight="1" x14ac:dyDescent="0.25">
      <c r="B1" s="4" t="s">
        <v>37</v>
      </c>
    </row>
    <row r="2" spans="2:9" ht="9.75" customHeight="1" x14ac:dyDescent="0.25">
      <c r="B2" s="4"/>
    </row>
    <row r="3" spans="2:9" x14ac:dyDescent="0.25">
      <c r="B3" s="43" t="s">
        <v>22</v>
      </c>
      <c r="C3" s="45" t="s">
        <v>0</v>
      </c>
      <c r="D3" s="45" t="s">
        <v>1</v>
      </c>
      <c r="E3" s="43" t="s">
        <v>2</v>
      </c>
      <c r="F3" s="43"/>
      <c r="G3" s="43"/>
      <c r="H3" s="47" t="s">
        <v>3</v>
      </c>
      <c r="I3" s="47"/>
    </row>
    <row r="4" spans="2:9" ht="33.75" x14ac:dyDescent="0.25">
      <c r="B4" s="44"/>
      <c r="C4" s="46"/>
      <c r="D4" s="46"/>
      <c r="E4" s="1" t="s">
        <v>4</v>
      </c>
      <c r="F4" s="1" t="s">
        <v>5</v>
      </c>
      <c r="G4" s="3" t="s">
        <v>19</v>
      </c>
      <c r="H4" s="1" t="s">
        <v>23</v>
      </c>
      <c r="I4" s="1" t="s">
        <v>24</v>
      </c>
    </row>
    <row r="5" spans="2:9" x14ac:dyDescent="0.25">
      <c r="B5" s="6" t="s">
        <v>50</v>
      </c>
      <c r="C5" s="31">
        <f>SUM(C6:C9)</f>
        <v>649</v>
      </c>
      <c r="D5" s="31">
        <f>MROUND(1882+305+11215+4033,10)</f>
        <v>17440</v>
      </c>
      <c r="E5" s="31">
        <f>MROUND(506+271+9773+2073,10)</f>
        <v>12620</v>
      </c>
      <c r="F5" s="31">
        <v>87.641606591143145</v>
      </c>
      <c r="G5" s="31">
        <v>36.176834100000001</v>
      </c>
      <c r="H5" s="31">
        <f>MROUND(4840+721+3602+1371,10)</f>
        <v>10530</v>
      </c>
      <c r="I5" s="31">
        <f>SUM(I6:I9)</f>
        <v>1585</v>
      </c>
    </row>
    <row r="6" spans="2:9" x14ac:dyDescent="0.25">
      <c r="B6" s="7" t="s">
        <v>6</v>
      </c>
      <c r="C6" s="32">
        <v>189</v>
      </c>
      <c r="D6" s="32">
        <f>MROUND(1882,10)</f>
        <v>1880</v>
      </c>
      <c r="E6" s="32">
        <f>MROUND(506,10)</f>
        <v>510</v>
      </c>
      <c r="F6" s="32">
        <v>89.920948616600796</v>
      </c>
      <c r="G6" s="32">
        <v>32.9</v>
      </c>
      <c r="H6" s="32">
        <f>MROUND(4840,10)</f>
        <v>4840</v>
      </c>
      <c r="I6" s="32">
        <v>398</v>
      </c>
    </row>
    <row r="7" spans="2:9" ht="15" customHeight="1" x14ac:dyDescent="0.25">
      <c r="B7" s="7" t="s">
        <v>7</v>
      </c>
      <c r="C7" s="32">
        <v>102</v>
      </c>
      <c r="D7" s="32">
        <f>MROUND(305,10)</f>
        <v>310</v>
      </c>
      <c r="E7" s="32">
        <f>MROUND(271,10)</f>
        <v>270</v>
      </c>
      <c r="F7" s="32">
        <v>95.20295202952029</v>
      </c>
      <c r="G7" s="32">
        <v>41.06</v>
      </c>
      <c r="H7" s="32">
        <f>MROUND(721,10)</f>
        <v>720</v>
      </c>
      <c r="I7" s="32">
        <v>662</v>
      </c>
    </row>
    <row r="8" spans="2:9" x14ac:dyDescent="0.25">
      <c r="B8" s="7" t="s">
        <v>8</v>
      </c>
      <c r="C8" s="32">
        <v>278</v>
      </c>
      <c r="D8" s="32">
        <f>MROUND(11215,10)</f>
        <v>11220</v>
      </c>
      <c r="E8" s="32">
        <f>MROUND(9773,10)</f>
        <v>9770</v>
      </c>
      <c r="F8" s="32">
        <v>88.273815614447969</v>
      </c>
      <c r="G8" s="32">
        <v>33.75</v>
      </c>
      <c r="H8" s="32">
        <f>MROUND(3602,10)</f>
        <v>3600</v>
      </c>
      <c r="I8" s="32">
        <v>425</v>
      </c>
    </row>
    <row r="9" spans="2:9" x14ac:dyDescent="0.25">
      <c r="B9" s="8" t="s">
        <v>9</v>
      </c>
      <c r="C9" s="33">
        <v>80</v>
      </c>
      <c r="D9" s="33">
        <f>MROUND(4033,10)</f>
        <v>4030</v>
      </c>
      <c r="E9" s="33">
        <f>MROUND(2073,10)</f>
        <v>2070</v>
      </c>
      <c r="F9" s="33">
        <v>83.11625663289918</v>
      </c>
      <c r="G9" s="33">
        <v>46.62</v>
      </c>
      <c r="H9" s="33">
        <f>MROUND(1371,10)</f>
        <v>1370</v>
      </c>
      <c r="I9" s="33">
        <v>100</v>
      </c>
    </row>
    <row r="10" spans="2:9" x14ac:dyDescent="0.25">
      <c r="B10" s="6" t="s">
        <v>51</v>
      </c>
      <c r="C10" s="31">
        <f>SUM(C11:C12)</f>
        <v>130</v>
      </c>
      <c r="D10" s="34">
        <f>1159+6908</f>
        <v>8067</v>
      </c>
      <c r="E10" s="34">
        <f>MROUND(621+3299,10)</f>
        <v>3920</v>
      </c>
      <c r="F10" s="34">
        <v>74.795918367346943</v>
      </c>
      <c r="G10" s="31">
        <v>27.4851706</v>
      </c>
      <c r="H10" s="34">
        <f>MROUND(423+2767,10)</f>
        <v>3190</v>
      </c>
      <c r="I10" s="34">
        <f>SUM(I11:I12)</f>
        <v>709</v>
      </c>
    </row>
    <row r="11" spans="2:9" x14ac:dyDescent="0.25">
      <c r="B11" s="7" t="s">
        <v>38</v>
      </c>
      <c r="C11" s="35">
        <v>41</v>
      </c>
      <c r="D11" s="35">
        <f>MROUND(1159,10)</f>
        <v>1160</v>
      </c>
      <c r="E11" s="35">
        <f>MROUND(621,10)</f>
        <v>620</v>
      </c>
      <c r="F11" s="35">
        <v>92.914653784218999</v>
      </c>
      <c r="G11" s="32">
        <v>31.63</v>
      </c>
      <c r="H11" s="35">
        <f>MROUND(423,10)</f>
        <v>420</v>
      </c>
      <c r="I11" s="54">
        <v>15</v>
      </c>
    </row>
    <row r="12" spans="2:9" x14ac:dyDescent="0.25">
      <c r="B12" s="8" t="s">
        <v>10</v>
      </c>
      <c r="C12" s="36">
        <v>89</v>
      </c>
      <c r="D12" s="36">
        <f>MROUND(6908,10)</f>
        <v>6910</v>
      </c>
      <c r="E12" s="36">
        <f>MROUND(3299,10)</f>
        <v>3300</v>
      </c>
      <c r="F12" s="36">
        <v>71.385268263110035</v>
      </c>
      <c r="G12" s="33">
        <v>26.7</v>
      </c>
      <c r="H12" s="36">
        <f>MROUND(2767,10)</f>
        <v>2770</v>
      </c>
      <c r="I12" s="55">
        <v>694</v>
      </c>
    </row>
    <row r="13" spans="2:9" x14ac:dyDescent="0.25">
      <c r="B13" s="6" t="s">
        <v>52</v>
      </c>
      <c r="C13" s="31">
        <f>SUM(C14:C18)</f>
        <v>323</v>
      </c>
      <c r="D13" s="31">
        <f>MROUND(569+13935+5802+1865+7585,10)</f>
        <v>29760</v>
      </c>
      <c r="E13" s="31">
        <f>MROUND(155+4267+1940+1865+2408,10)</f>
        <v>10640</v>
      </c>
      <c r="F13" s="31">
        <v>86.835919134931828</v>
      </c>
      <c r="G13" s="31">
        <v>23.499130000000001</v>
      </c>
      <c r="H13" s="31">
        <f>MROUND(183+4105+1645+1341+2049,10)</f>
        <v>9320</v>
      </c>
      <c r="I13" s="31">
        <f>SUM(I14:I18)</f>
        <v>2176</v>
      </c>
    </row>
    <row r="14" spans="2:9" x14ac:dyDescent="0.25">
      <c r="B14" s="7" t="s">
        <v>11</v>
      </c>
      <c r="C14" s="32">
        <v>26</v>
      </c>
      <c r="D14" s="32">
        <f>MROUND(569,10)</f>
        <v>570</v>
      </c>
      <c r="E14" s="32">
        <f>MROUND(155,10)</f>
        <v>160</v>
      </c>
      <c r="F14" s="32">
        <v>49.032258064516128</v>
      </c>
      <c r="G14" s="32">
        <v>32.44</v>
      </c>
      <c r="H14" s="32">
        <f>MROUND(183,10)</f>
        <v>180</v>
      </c>
      <c r="I14" s="32">
        <v>109</v>
      </c>
    </row>
    <row r="15" spans="2:9" x14ac:dyDescent="0.25">
      <c r="B15" s="9" t="s">
        <v>12</v>
      </c>
      <c r="C15" s="37">
        <v>85</v>
      </c>
      <c r="D15" s="37">
        <f>MROUND(13935,10)</f>
        <v>13940</v>
      </c>
      <c r="E15" s="37">
        <f>MROUND(4267,10)</f>
        <v>4270</v>
      </c>
      <c r="F15" s="37">
        <v>76.517459573470816</v>
      </c>
      <c r="G15" s="37">
        <v>23.03</v>
      </c>
      <c r="H15" s="37">
        <f>MROUND(4105,10)</f>
        <v>4110</v>
      </c>
      <c r="I15" s="37">
        <v>1362</v>
      </c>
    </row>
    <row r="16" spans="2:9" x14ac:dyDescent="0.25">
      <c r="B16" s="7" t="s">
        <v>13</v>
      </c>
      <c r="C16" s="32">
        <v>51</v>
      </c>
      <c r="D16" s="32">
        <f>MROUND(5802,10)</f>
        <v>5800</v>
      </c>
      <c r="E16" s="32">
        <f>MROUND(1940,10)</f>
        <v>1940</v>
      </c>
      <c r="F16" s="32">
        <v>96.597938144329902</v>
      </c>
      <c r="G16" s="32">
        <v>23.37</v>
      </c>
      <c r="H16" s="32">
        <f>MROUND(1645,10)</f>
        <v>1650</v>
      </c>
      <c r="I16" s="32">
        <v>460</v>
      </c>
    </row>
    <row r="17" spans="2:14" x14ac:dyDescent="0.25">
      <c r="B17" s="7" t="s">
        <v>14</v>
      </c>
      <c r="C17" s="32">
        <v>91</v>
      </c>
      <c r="D17" s="32">
        <f>MROUND(1865,10)</f>
        <v>1870</v>
      </c>
      <c r="E17" s="32">
        <f>MROUND(1865,10)</f>
        <v>1870</v>
      </c>
      <c r="F17" s="32">
        <v>95.549597855227887</v>
      </c>
      <c r="G17" s="32">
        <v>22.8</v>
      </c>
      <c r="H17" s="32">
        <f>MROUND(1341,10)</f>
        <v>1340</v>
      </c>
      <c r="I17" s="32">
        <v>45</v>
      </c>
    </row>
    <row r="18" spans="2:14" x14ac:dyDescent="0.25">
      <c r="B18" s="8" t="s">
        <v>15</v>
      </c>
      <c r="C18" s="33">
        <v>70</v>
      </c>
      <c r="D18" s="33">
        <f>MROUND(7585,10)</f>
        <v>7590</v>
      </c>
      <c r="E18" s="33">
        <f>MROUND(2408,10)</f>
        <v>2410</v>
      </c>
      <c r="F18" s="33">
        <v>92.940199335548172</v>
      </c>
      <c r="G18" s="33">
        <v>24.27</v>
      </c>
      <c r="H18" s="33">
        <f>MROUND(2049,10)</f>
        <v>2050</v>
      </c>
      <c r="I18" s="33">
        <v>200</v>
      </c>
      <c r="L18" s="56"/>
    </row>
    <row r="19" spans="2:14" x14ac:dyDescent="0.25">
      <c r="B19" s="6" t="s">
        <v>54</v>
      </c>
      <c r="C19" s="31">
        <f>SUM(C20:C23)</f>
        <v>149</v>
      </c>
      <c r="D19" s="31">
        <f>MROUND(360+3365+941+531,10)</f>
        <v>5200</v>
      </c>
      <c r="E19" s="31">
        <f>MROUND(147+1492+343+173,10)</f>
        <v>2160</v>
      </c>
      <c r="F19" s="31">
        <v>70.997679814385151</v>
      </c>
      <c r="G19" s="31">
        <v>40.760393299999997</v>
      </c>
      <c r="H19" s="31">
        <f>MROUND(101+1231+302+154,10)</f>
        <v>1790</v>
      </c>
      <c r="I19" s="38" t="s">
        <v>47</v>
      </c>
    </row>
    <row r="20" spans="2:14" x14ac:dyDescent="0.25">
      <c r="B20" s="7" t="s">
        <v>16</v>
      </c>
      <c r="C20" s="35">
        <v>22</v>
      </c>
      <c r="D20" s="32">
        <f>MROUND(360,10)</f>
        <v>360</v>
      </c>
      <c r="E20" s="32">
        <f>MROUND(147,10)</f>
        <v>150</v>
      </c>
      <c r="F20" s="32">
        <v>91.156462585034021</v>
      </c>
      <c r="G20" s="32">
        <v>42.48</v>
      </c>
      <c r="H20" s="32">
        <f>MROUND(101,10)</f>
        <v>100</v>
      </c>
      <c r="I20" s="54">
        <v>8</v>
      </c>
    </row>
    <row r="21" spans="2:14" x14ac:dyDescent="0.25">
      <c r="B21" s="7" t="s">
        <v>41</v>
      </c>
      <c r="C21" s="35">
        <v>73</v>
      </c>
      <c r="D21" s="32">
        <f>MROUND(3365,10)</f>
        <v>3370</v>
      </c>
      <c r="E21" s="32">
        <f>MROUND(1492,10)</f>
        <v>1490</v>
      </c>
      <c r="F21" s="32">
        <v>71.447721179624665</v>
      </c>
      <c r="G21" s="32">
        <v>40.299999999999997</v>
      </c>
      <c r="H21" s="32">
        <f>MROUND(1231,10)</f>
        <v>1230</v>
      </c>
      <c r="I21" s="54">
        <v>159</v>
      </c>
    </row>
    <row r="22" spans="2:14" x14ac:dyDescent="0.25">
      <c r="B22" s="7" t="s">
        <v>42</v>
      </c>
      <c r="C22" s="35">
        <v>25</v>
      </c>
      <c r="D22" s="32">
        <f>MROUND(941,10)</f>
        <v>940</v>
      </c>
      <c r="E22" s="32">
        <f>MROUND(343,10)</f>
        <v>340</v>
      </c>
      <c r="F22" s="32">
        <v>66.472303206997083</v>
      </c>
      <c r="G22" s="32">
        <v>42.49</v>
      </c>
      <c r="H22" s="32">
        <f>MROUND(302,10)</f>
        <v>300</v>
      </c>
      <c r="I22" s="54" t="s">
        <v>21</v>
      </c>
    </row>
    <row r="23" spans="2:14" x14ac:dyDescent="0.25">
      <c r="B23" s="8" t="s">
        <v>17</v>
      </c>
      <c r="C23" s="36">
        <v>29</v>
      </c>
      <c r="D23" s="33">
        <f>MROUND(531,10)</f>
        <v>530</v>
      </c>
      <c r="E23" s="33">
        <f>MROUND(173,10)</f>
        <v>170</v>
      </c>
      <c r="F23" s="33">
        <v>58.959537572254334</v>
      </c>
      <c r="G23" s="33">
        <v>40.98</v>
      </c>
      <c r="H23" s="33">
        <f>MROUND(154,10)</f>
        <v>150</v>
      </c>
      <c r="I23" s="55">
        <v>9</v>
      </c>
    </row>
    <row r="24" spans="2:14" x14ac:dyDescent="0.25">
      <c r="B24" s="10" t="s">
        <v>18</v>
      </c>
      <c r="C24" s="39">
        <f>C19+C13+C10+C5</f>
        <v>1251</v>
      </c>
      <c r="D24" s="39">
        <f>MROUND(60455,10)</f>
        <v>60460</v>
      </c>
      <c r="E24" s="39">
        <f>MROUND(29333,10)</f>
        <v>29330</v>
      </c>
      <c r="F24" s="40">
        <v>84.410050114205845</v>
      </c>
      <c r="G24" s="41">
        <v>30.59</v>
      </c>
      <c r="H24" s="39">
        <f>MROUND(24835,10)</f>
        <v>24840</v>
      </c>
      <c r="I24" s="42" t="s">
        <v>46</v>
      </c>
      <c r="J24" s="57"/>
      <c r="K24" s="57"/>
      <c r="M24" s="57"/>
      <c r="N24" s="57"/>
    </row>
    <row r="25" spans="2:14" x14ac:dyDescent="0.25">
      <c r="B25" s="11"/>
      <c r="C25" s="12"/>
      <c r="D25" s="12"/>
      <c r="E25" s="12"/>
      <c r="F25" s="13"/>
      <c r="G25" s="14"/>
      <c r="H25" s="12"/>
      <c r="I25" s="15"/>
      <c r="J25" s="57"/>
      <c r="K25" s="57"/>
      <c r="M25" s="57"/>
      <c r="N25" s="57"/>
    </row>
    <row r="26" spans="2:14" x14ac:dyDescent="0.25">
      <c r="B26" s="5" t="s">
        <v>55</v>
      </c>
    </row>
    <row r="27" spans="2:14" x14ac:dyDescent="0.25">
      <c r="B27" s="5" t="s">
        <v>56</v>
      </c>
    </row>
    <row r="28" spans="2:14" x14ac:dyDescent="0.25">
      <c r="B28" s="5" t="s">
        <v>57</v>
      </c>
    </row>
    <row r="29" spans="2:14" x14ac:dyDescent="0.25">
      <c r="B29" s="5" t="s">
        <v>58</v>
      </c>
    </row>
    <row r="30" spans="2:14" x14ac:dyDescent="0.25">
      <c r="B30" s="5" t="s">
        <v>59</v>
      </c>
    </row>
    <row r="31" spans="2:14" x14ac:dyDescent="0.25">
      <c r="B31" s="5" t="s">
        <v>64</v>
      </c>
    </row>
    <row r="32" spans="2:14" x14ac:dyDescent="0.25">
      <c r="B32" s="5" t="s">
        <v>65</v>
      </c>
    </row>
    <row r="33" spans="2:2" x14ac:dyDescent="0.25">
      <c r="B33" s="5" t="s">
        <v>66</v>
      </c>
    </row>
    <row r="34" spans="2:2" x14ac:dyDescent="0.25">
      <c r="B34" s="5" t="s">
        <v>67</v>
      </c>
    </row>
  </sheetData>
  <mergeCells count="5">
    <mergeCell ref="B3:B4"/>
    <mergeCell ref="C3:C4"/>
    <mergeCell ref="D3:D4"/>
    <mergeCell ref="E3:G3"/>
    <mergeCell ref="H3:I3"/>
  </mergeCells>
  <pageMargins left="0.7" right="0.7" top="0.75" bottom="0.75" header="0.3" footer="0.3"/>
  <pageSetup paperSize="9" scale="68" orientation="portrait" verticalDpi="1200" r:id="rId1"/>
  <ignoredErrors>
    <ignoredError sqref="I24 I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H11"/>
  <sheetViews>
    <sheetView showGridLines="0" zoomScaleNormal="100" workbookViewId="0">
      <selection activeCell="I38" sqref="I38"/>
    </sheetView>
  </sheetViews>
  <sheetFormatPr baseColWidth="10" defaultRowHeight="11.25" x14ac:dyDescent="0.25"/>
  <cols>
    <col min="1" max="1" width="3.7109375" style="5" customWidth="1"/>
    <col min="2" max="2" width="24.85546875" style="5" customWidth="1"/>
    <col min="3" max="16384" width="11.42578125" style="5"/>
  </cols>
  <sheetData>
    <row r="1" spans="2:8" x14ac:dyDescent="0.25">
      <c r="B1" s="16" t="s">
        <v>68</v>
      </c>
    </row>
    <row r="3" spans="2:8" x14ac:dyDescent="0.25">
      <c r="B3" s="26"/>
      <c r="C3" s="27">
        <v>2012</v>
      </c>
      <c r="D3" s="27">
        <v>2013</v>
      </c>
      <c r="E3" s="27">
        <v>2014</v>
      </c>
      <c r="F3" s="27">
        <v>2015</v>
      </c>
      <c r="G3" s="27">
        <v>2016</v>
      </c>
      <c r="H3" s="27">
        <v>2017</v>
      </c>
    </row>
    <row r="4" spans="2:8" x14ac:dyDescent="0.25">
      <c r="B4" s="28" t="s">
        <v>3</v>
      </c>
      <c r="C4" s="29">
        <v>0</v>
      </c>
      <c r="D4" s="29">
        <v>-2.9288702928870314E-2</v>
      </c>
      <c r="E4" s="29">
        <v>-6.210085884166483E-2</v>
      </c>
      <c r="F4" s="29">
        <v>-8.544373486016299E-2</v>
      </c>
      <c r="G4" s="29">
        <v>-0.10482272627174627</v>
      </c>
      <c r="H4" s="29">
        <v>-9.6014093811935708E-2</v>
      </c>
    </row>
    <row r="5" spans="2:8" x14ac:dyDescent="0.25">
      <c r="B5" s="28" t="s">
        <v>39</v>
      </c>
      <c r="C5" s="29">
        <v>0</v>
      </c>
      <c r="D5" s="29">
        <v>-1.6949152542372836E-2</v>
      </c>
      <c r="E5" s="29">
        <v>-3.4121320249776987E-2</v>
      </c>
      <c r="F5" s="29">
        <v>-3.4121320249776987E-2</v>
      </c>
      <c r="G5" s="29">
        <v>-4.5272078501338076E-2</v>
      </c>
      <c r="H5" s="29">
        <v>-3.5459411239964322E-2</v>
      </c>
    </row>
    <row r="7" spans="2:8" ht="36.75" customHeight="1" x14ac:dyDescent="0.25">
      <c r="B7" s="48" t="s">
        <v>48</v>
      </c>
      <c r="C7" s="48"/>
      <c r="D7" s="48"/>
      <c r="E7" s="48"/>
      <c r="F7" s="48"/>
      <c r="G7" s="48"/>
      <c r="H7" s="48"/>
    </row>
    <row r="8" spans="2:8" ht="30" customHeight="1" x14ac:dyDescent="0.25">
      <c r="B8" s="48" t="s">
        <v>49</v>
      </c>
      <c r="C8" s="48"/>
      <c r="D8" s="48"/>
      <c r="E8" s="48"/>
      <c r="F8" s="48"/>
      <c r="G8" s="48"/>
      <c r="H8" s="48"/>
    </row>
    <row r="9" spans="2:8" ht="22.5" customHeight="1" x14ac:dyDescent="0.25">
      <c r="B9" s="48" t="s">
        <v>45</v>
      </c>
      <c r="C9" s="49"/>
      <c r="D9" s="49"/>
      <c r="E9" s="49"/>
      <c r="F9" s="49"/>
      <c r="G9" s="49"/>
      <c r="H9" s="49"/>
    </row>
    <row r="10" spans="2:8" x14ac:dyDescent="0.25">
      <c r="B10" s="5" t="s">
        <v>44</v>
      </c>
    </row>
    <row r="11" spans="2:8" s="30" customFormat="1" x14ac:dyDescent="0.25"/>
  </sheetData>
  <mergeCells count="3">
    <mergeCell ref="B9:H9"/>
    <mergeCell ref="B7:H7"/>
    <mergeCell ref="B8:H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S18"/>
  <sheetViews>
    <sheetView showGridLines="0" topLeftCell="A7" zoomScaleNormal="100" workbookViewId="0">
      <selection activeCell="B36" sqref="B36:B37"/>
    </sheetView>
  </sheetViews>
  <sheetFormatPr baseColWidth="10" defaultRowHeight="11.25" x14ac:dyDescent="0.25"/>
  <cols>
    <col min="1" max="1" width="3.7109375" style="5" customWidth="1"/>
    <col min="2" max="2" width="38.42578125" style="5" customWidth="1"/>
    <col min="3" max="5" width="11.5703125" style="5" bestFit="1" customWidth="1"/>
    <col min="6" max="6" width="18.7109375" style="5" customWidth="1"/>
    <col min="7" max="8" width="11.5703125" style="5" bestFit="1" customWidth="1"/>
    <col min="9" max="9" width="15.28515625" style="5" bestFit="1" customWidth="1"/>
    <col min="10" max="10" width="11.42578125" style="5"/>
    <col min="11" max="11" width="14" style="5" customWidth="1"/>
    <col min="12" max="16384" width="11.42578125" style="5"/>
  </cols>
  <sheetData>
    <row r="1" spans="2:19" x14ac:dyDescent="0.25">
      <c r="B1" s="16" t="s">
        <v>40</v>
      </c>
    </row>
    <row r="2" spans="2:19" x14ac:dyDescent="0.25">
      <c r="B2" s="16"/>
    </row>
    <row r="3" spans="2:19" x14ac:dyDescent="0.25">
      <c r="H3" s="17" t="s">
        <v>43</v>
      </c>
    </row>
    <row r="4" spans="2:19" ht="15" customHeight="1" x14ac:dyDescent="0.25">
      <c r="B4" s="51"/>
      <c r="C4" s="45" t="s">
        <v>27</v>
      </c>
      <c r="D4" s="45" t="s">
        <v>28</v>
      </c>
      <c r="E4" s="53" t="s">
        <v>26</v>
      </c>
      <c r="F4" s="53"/>
      <c r="G4" s="45" t="s">
        <v>53</v>
      </c>
      <c r="H4" s="45" t="s">
        <v>20</v>
      </c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2:19" ht="31.5" customHeight="1" x14ac:dyDescent="0.25">
      <c r="B5" s="52"/>
      <c r="C5" s="50"/>
      <c r="D5" s="50"/>
      <c r="E5" s="20" t="s">
        <v>25</v>
      </c>
      <c r="F5" s="20" t="s">
        <v>29</v>
      </c>
      <c r="G5" s="50"/>
      <c r="H5" s="50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19" x14ac:dyDescent="0.25">
      <c r="B6" s="2" t="s">
        <v>31</v>
      </c>
      <c r="C6" s="21">
        <v>5.2450394948976374E-2</v>
      </c>
      <c r="D6" s="21">
        <v>3.1831058999887307E-2</v>
      </c>
      <c r="E6" s="21">
        <v>2.8597051705930868E-2</v>
      </c>
      <c r="F6" s="21">
        <v>3.5900341982138609E-2</v>
      </c>
      <c r="G6" s="21">
        <v>4.9932543194116032E-2</v>
      </c>
      <c r="H6" s="21">
        <v>2.4297019308750119E-2</v>
      </c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x14ac:dyDescent="0.25">
      <c r="B7" s="2" t="s">
        <v>32</v>
      </c>
      <c r="C7" s="21">
        <v>0.11441901519450222</v>
      </c>
      <c r="D7" s="21">
        <v>0.11754062744871939</v>
      </c>
      <c r="E7" s="21">
        <v>0.12226466850778718</v>
      </c>
      <c r="F7" s="21">
        <v>0.11513211025669363</v>
      </c>
      <c r="G7" s="21">
        <v>0.12298753862446143</v>
      </c>
      <c r="H7" s="21">
        <v>7.7089452256228791E-2</v>
      </c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x14ac:dyDescent="0.25">
      <c r="B8" s="2" t="s">
        <v>33</v>
      </c>
      <c r="C8" s="21">
        <v>0.10019995136318192</v>
      </c>
      <c r="D8" s="21">
        <v>0.14399976937813339</v>
      </c>
      <c r="E8" s="21">
        <v>0.22032185746632546</v>
      </c>
      <c r="F8" s="21">
        <v>0.18460468622044304</v>
      </c>
      <c r="G8" s="21">
        <v>0.22946871116398049</v>
      </c>
      <c r="H8" s="21">
        <v>0.17311862096950079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19" x14ac:dyDescent="0.25">
      <c r="B9" s="2" t="s">
        <v>34</v>
      </c>
      <c r="C9" s="21">
        <v>4.1061543588496487E-2</v>
      </c>
      <c r="D9" s="21">
        <v>6.3856050023979427E-2</v>
      </c>
      <c r="E9" s="21">
        <v>0.11236479114507072</v>
      </c>
      <c r="F9" s="21">
        <v>9.913858630585469E-2</v>
      </c>
      <c r="G9" s="21">
        <v>0.11277907533402</v>
      </c>
      <c r="H9" s="21">
        <v>0.21803843500016365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19" x14ac:dyDescent="0.25">
      <c r="B10" s="2" t="s">
        <v>35</v>
      </c>
      <c r="C10" s="22">
        <v>0.35122807965629976</v>
      </c>
      <c r="D10" s="22">
        <v>0.36536793360186803</v>
      </c>
      <c r="E10" s="23">
        <v>0.31144103880239382</v>
      </c>
      <c r="F10" s="22">
        <v>0.3248764190349564</v>
      </c>
      <c r="G10" s="23">
        <v>0.26369905076910433</v>
      </c>
      <c r="H10" s="22">
        <v>0.11780611108545776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2:19" x14ac:dyDescent="0.25">
      <c r="B11" s="2" t="s">
        <v>36</v>
      </c>
      <c r="C11" s="21">
        <v>0.30854386770785486</v>
      </c>
      <c r="D11" s="21">
        <v>0.24036092322126335</v>
      </c>
      <c r="E11" s="21">
        <v>0.17941494342119435</v>
      </c>
      <c r="F11" s="21">
        <v>0.21233053026238591</v>
      </c>
      <c r="G11" s="21">
        <v>0.19897339929109911</v>
      </c>
      <c r="H11" s="21">
        <v>0.34043316656691247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2:19" x14ac:dyDescent="0.25">
      <c r="B12" s="2" t="s">
        <v>30</v>
      </c>
      <c r="C12" s="21">
        <v>3.2093634881605375E-2</v>
      </c>
      <c r="D12" s="21">
        <v>3.704520974796699E-2</v>
      </c>
      <c r="E12" s="21">
        <v>2.5595648951297605E-2</v>
      </c>
      <c r="F12" s="21">
        <v>2.802410813508659E-2</v>
      </c>
      <c r="G12" s="21">
        <v>2.2160600389750436E-2</v>
      </c>
      <c r="H12" s="21">
        <v>4.9217194812986469E-2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x14ac:dyDescent="0.25">
      <c r="B13" s="24"/>
      <c r="C13" s="25"/>
      <c r="D13" s="18"/>
      <c r="E13" s="18"/>
      <c r="F13" s="24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5" spans="2:19" x14ac:dyDescent="0.25">
      <c r="B15" s="5" t="s">
        <v>60</v>
      </c>
    </row>
    <row r="16" spans="2:19" x14ac:dyDescent="0.25">
      <c r="B16" s="5" t="s">
        <v>61</v>
      </c>
    </row>
    <row r="17" spans="2:2" x14ac:dyDescent="0.25">
      <c r="B17" s="5" t="s">
        <v>62</v>
      </c>
    </row>
    <row r="18" spans="2:2" x14ac:dyDescent="0.25">
      <c r="B18" s="5" t="s">
        <v>63</v>
      </c>
    </row>
  </sheetData>
  <mergeCells count="6">
    <mergeCell ref="H4:H5"/>
    <mergeCell ref="B4:B5"/>
    <mergeCell ref="E4:F4"/>
    <mergeCell ref="C4:C5"/>
    <mergeCell ref="D4:D5"/>
    <mergeCell ref="G4:G5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1</vt:lpstr>
      <vt:lpstr>graphique 1</vt:lpstr>
      <vt:lpstr>graphique 2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YANKAN, Leslie (DREES/OS/BCL)</dc:creator>
  <cp:lastModifiedBy>BRIFAULT, Fabienne (DREES/MCP/EXTERNES)</cp:lastModifiedBy>
  <dcterms:created xsi:type="dcterms:W3CDTF">2018-10-05T13:16:37Z</dcterms:created>
  <dcterms:modified xsi:type="dcterms:W3CDTF">2019-02-11T09:36:57Z</dcterms:modified>
</cp:coreProperties>
</file>